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Tom\Downloads\"/>
    </mc:Choice>
  </mc:AlternateContent>
  <xr:revisionPtr revIDLastSave="0" documentId="13_ncr:1_{3B822313-C374-4483-A225-B99B93E8DF9F}" xr6:coauthVersionLast="46" xr6:coauthVersionMax="46" xr10:uidLastSave="{00000000-0000-0000-0000-000000000000}"/>
  <bookViews>
    <workbookView xWindow="-120" yWindow="-120" windowWidth="20730" windowHeight="11310" activeTab="2" xr2:uid="{5A51EE39-7E5A-44D2-BB08-06518B3FBD68}"/>
  </bookViews>
  <sheets>
    <sheet name="2.1" sheetId="1" r:id="rId1"/>
    <sheet name="2.2" sheetId="2" r:id="rId2"/>
    <sheet name="2.3"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6" i="2" l="1"/>
  <c r="B53" i="3"/>
  <c r="D75" i="3"/>
  <c r="E74" i="3"/>
  <c r="B75" i="3" s="1"/>
  <c r="E75" i="3" s="1"/>
  <c r="B71" i="3"/>
  <c r="B70" i="3"/>
  <c r="B69" i="3"/>
  <c r="D72" i="3" s="1"/>
  <c r="B68" i="3"/>
  <c r="E72" i="3" s="1"/>
  <c r="D63" i="3"/>
  <c r="C63" i="3"/>
  <c r="B63" i="3"/>
  <c r="E63" i="3" s="1"/>
  <c r="D62" i="3"/>
  <c r="C62" i="3"/>
  <c r="B62" i="3"/>
  <c r="E62" i="3" s="1"/>
  <c r="D61" i="3"/>
  <c r="C61" i="3"/>
  <c r="B61" i="3"/>
  <c r="E61" i="3" s="1"/>
  <c r="D60" i="3"/>
  <c r="D64" i="3" s="1"/>
  <c r="C60" i="3"/>
  <c r="C64" i="3" s="1"/>
  <c r="B60" i="3"/>
  <c r="E60" i="3" s="1"/>
  <c r="E64" i="3" s="1"/>
  <c r="D56" i="3"/>
  <c r="B56" i="3"/>
  <c r="E56" i="3" s="1"/>
  <c r="D55" i="3"/>
  <c r="B55" i="3"/>
  <c r="E55" i="3" s="1"/>
  <c r="D54" i="3"/>
  <c r="B54" i="3"/>
  <c r="E54" i="3" s="1"/>
  <c r="D53" i="3"/>
  <c r="E53" i="3"/>
  <c r="B42" i="2"/>
  <c r="B38" i="2"/>
  <c r="B28" i="2"/>
  <c r="B22" i="2"/>
  <c r="D30" i="2"/>
  <c r="B30" i="2"/>
  <c r="B29" i="2"/>
  <c r="B27" i="2"/>
  <c r="B26" i="2"/>
  <c r="B25" i="2"/>
  <c r="B23" i="2"/>
  <c r="D21" i="2"/>
  <c r="B72" i="3" l="1"/>
  <c r="B64" i="3"/>
  <c r="B42" i="1" l="1"/>
  <c r="B41" i="1"/>
  <c r="B40" i="1"/>
  <c r="B39" i="1"/>
  <c r="B30" i="1"/>
  <c r="B21" i="1"/>
  <c r="B15" i="1"/>
  <c r="B14" i="1"/>
  <c r="B13" i="1"/>
  <c r="B12" i="1"/>
  <c r="B11" i="1"/>
  <c r="E45" i="3"/>
  <c r="E44" i="3"/>
  <c r="E43" i="3"/>
  <c r="B28" i="3"/>
  <c r="B21" i="3"/>
  <c r="B29" i="3" s="1"/>
  <c r="B15" i="3"/>
  <c r="B30" i="3" s="1"/>
</calcChain>
</file>

<file path=xl/sharedStrings.xml><?xml version="1.0" encoding="utf-8"?>
<sst xmlns="http://schemas.openxmlformats.org/spreadsheetml/2006/main" count="148" uniqueCount="113">
  <si>
    <t>CHAPTER 5 HOMEWORK - COSTING AND PROFIT ANALYSIS</t>
  </si>
  <si>
    <t>Homework 2.1, Chapter 5</t>
  </si>
  <si>
    <t>Using the data below, answering the following questions:</t>
  </si>
  <si>
    <t>Fixed costs</t>
  </si>
  <si>
    <t>Variable cost/day</t>
  </si>
  <si>
    <t>Charge (rev)/day</t>
  </si>
  <si>
    <t>Inpatient days</t>
  </si>
  <si>
    <t>a. Construct the hospital's base case projected P&amp;L statement</t>
  </si>
  <si>
    <t>b. What is the hospital's breakeven point (volume / patient days needed to breakeven)?</t>
  </si>
  <si>
    <t>c. What is the economic breakeven (volume required ) to provide a profit of $1,500,000?</t>
  </si>
  <si>
    <t>d. What is the total contribution margin if volume decreases by 20%?</t>
  </si>
  <si>
    <t>e. Based on the scenario in d., if fixed costs remain the same, what is the hospital's profit or loss?</t>
  </si>
  <si>
    <t>Homework 2.2, Chapter 5</t>
  </si>
  <si>
    <t xml:space="preserve">You are considering starting a walk-in clinic.  Your financial projections for the first year of operations are below.  Revenue and variable costs are based on the projected number of visits.  Medical and administrative supplies are variable costs; all other costs are fixed costs.
Medical and administrative supplies are variable costs; all other costs are fixed costs.
</t>
  </si>
  <si>
    <t>Projected Visits</t>
  </si>
  <si>
    <t>Revenues</t>
  </si>
  <si>
    <t>Wages &amp; benefits</t>
  </si>
  <si>
    <t>Rent</t>
  </si>
  <si>
    <t>Depreciation</t>
  </si>
  <si>
    <t>Utilities</t>
  </si>
  <si>
    <t>Medical supplies</t>
  </si>
  <si>
    <t>Administrative supplies</t>
  </si>
  <si>
    <t>a. Construct the clinic's projected P&amp;L statement</t>
  </si>
  <si>
    <t>b. What is the total contribution margin?</t>
  </si>
  <si>
    <t>c. What is the contribution margin rate (rounded to the nearest dollar)?</t>
  </si>
  <si>
    <t>d. What is the clinic's breakeven point?</t>
  </si>
  <si>
    <t>e. What is the economic breakeven for a profit of $100,000?</t>
  </si>
  <si>
    <t>CHAPTER 6 HOMEWORK - DEPARTMENTAL COSTING AND COST ALLOCATION</t>
  </si>
  <si>
    <t>Homework 2.3, Chapter 6</t>
  </si>
  <si>
    <t>St. Benedict Hospital has three primary revenue producing departments (Inpatient, Outpatient, Clinic) with the following revenue and cost projections.  In order to better determine the departments’ overall true cost and profit margin, management wants to allocate service department costs as overhead allocations to these departments.</t>
  </si>
  <si>
    <t>PROJECTED REVENUES AND COSTS PER DEPARTMENT</t>
  </si>
  <si>
    <t xml:space="preserve">   Inpatient Services</t>
  </si>
  <si>
    <t xml:space="preserve">   Outpatient Services</t>
  </si>
  <si>
    <t xml:space="preserve">   Clinic Services</t>
  </si>
  <si>
    <t xml:space="preserve">      Total revenues</t>
  </si>
  <si>
    <t>Direct Costs</t>
  </si>
  <si>
    <t xml:space="preserve">      Total costs</t>
  </si>
  <si>
    <t>Service Department Costs</t>
  </si>
  <si>
    <t xml:space="preserve">   Financial Services</t>
  </si>
  <si>
    <t xml:space="preserve">   Facilities</t>
  </si>
  <si>
    <t xml:space="preserve">   Housekeeping</t>
  </si>
  <si>
    <t xml:space="preserve">   Administration</t>
  </si>
  <si>
    <t xml:space="preserve">      Total overhead costs</t>
  </si>
  <si>
    <t>Total Costs</t>
  </si>
  <si>
    <t>Projected Profit</t>
  </si>
  <si>
    <t>Management considered various cost drivers and made the determiniation to use the following as the most relevant for each service department:</t>
  </si>
  <si>
    <t>Department</t>
  </si>
  <si>
    <t>Cost Driver</t>
  </si>
  <si>
    <t xml:space="preserve"> Financial Services</t>
  </si>
  <si>
    <t>Patient revenue</t>
  </si>
  <si>
    <t xml:space="preserve"> Facilities</t>
  </si>
  <si>
    <t>Square feet</t>
  </si>
  <si>
    <t xml:space="preserve"> Housekeeping</t>
  </si>
  <si>
    <t>Housekeeping hrs</t>
  </si>
  <si>
    <t xml:space="preserve"> Administration</t>
  </si>
  <si>
    <t>Salary dollars</t>
  </si>
  <si>
    <t>Utlization information for allocations:</t>
  </si>
  <si>
    <t>Inpatient</t>
  </si>
  <si>
    <t>Outpatient</t>
  </si>
  <si>
    <t>Clinic</t>
  </si>
  <si>
    <t>Total Utilization</t>
  </si>
  <si>
    <t>Square Feet</t>
  </si>
  <si>
    <t>Housekeeping Hours</t>
  </si>
  <si>
    <t>Salary Dollars</t>
  </si>
  <si>
    <t>Based upon this information, complete the following, filling in each highlighted cell.  Be sure to use formulas to show your work.</t>
  </si>
  <si>
    <t>Use Exhibit 6.6 as a guideto complete this table and calculate the allocation rates for each service department cost.</t>
  </si>
  <si>
    <t>Cost Pool Amount</t>
  </si>
  <si>
    <t>Allocation Rate</t>
  </si>
  <si>
    <t>Use Exhibit 6.7 as a guide to complete the indirect cost allocations to each patient service area.</t>
  </si>
  <si>
    <t>Indirect Cost Allocations</t>
  </si>
  <si>
    <t>Total</t>
  </si>
  <si>
    <t>Financial Services</t>
  </si>
  <si>
    <t>Facilities</t>
  </si>
  <si>
    <t>Housekeeping</t>
  </si>
  <si>
    <t>General Administration</t>
  </si>
  <si>
    <t>Total Indirect Costs</t>
  </si>
  <si>
    <t>Using Exhibit 6.8 as a guide, complete the P&amp;L projections below for each patient service area.</t>
  </si>
  <si>
    <t>P&amp;L</t>
  </si>
  <si>
    <t>Revenue</t>
  </si>
  <si>
    <t>Indirect Costs</t>
  </si>
  <si>
    <t>Profit using only Direct Costs</t>
  </si>
  <si>
    <t>Profit margin % using Direct Costs only</t>
  </si>
  <si>
    <t>Profit using Total Costs</t>
  </si>
  <si>
    <t>Profit margin % using Total Costs</t>
  </si>
  <si>
    <t>Total Revenues</t>
  </si>
  <si>
    <t>Total Variable Costs</t>
  </si>
  <si>
    <t>Total Contribution Margin</t>
  </si>
  <si>
    <t>Fixed Costs</t>
  </si>
  <si>
    <t>Profit</t>
  </si>
  <si>
    <t>breakeve point</t>
  </si>
  <si>
    <t>Volume required</t>
  </si>
  <si>
    <t>Decrrease</t>
  </si>
  <si>
    <t>new Total contribution margin</t>
  </si>
  <si>
    <t>profit</t>
  </si>
  <si>
    <t>Expenditure</t>
  </si>
  <si>
    <t>Amount ($)</t>
  </si>
  <si>
    <t>Income</t>
  </si>
  <si>
    <t>Amouns ($)</t>
  </si>
  <si>
    <t>Variable cost</t>
  </si>
  <si>
    <t>Medical Supplies</t>
  </si>
  <si>
    <t>Wages &amp; Benefits</t>
  </si>
  <si>
    <t>Contribution Margin</t>
  </si>
  <si>
    <t>Contibution margin rate</t>
  </si>
  <si>
    <t>Breakeven point</t>
  </si>
  <si>
    <t>Patient Revenue</t>
  </si>
  <si>
    <t>Housekeeping hours</t>
  </si>
  <si>
    <t>-</t>
  </si>
  <si>
    <t>/</t>
  </si>
  <si>
    <t>47%%</t>
  </si>
  <si>
    <t>350700 + 100000 = x</t>
  </si>
  <si>
    <t>x / (50-49) =y</t>
  </si>
  <si>
    <t>y = 1,802,800</t>
  </si>
  <si>
    <t xml:space="preserve">The hospital using the data provided, they will lose money in profit if the value is decreased by 20%. This is a lot of money to lose because the amount charge per day is not enough to cover the fixed costs. If they keep the charge (rev/day) at $2,575 instead of $2,060.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</si>
</sst>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000_);\(&quot;$&quot;#,##0.00000\)"/>
    <numFmt numFmtId="167" formatCode="#,##0.000_);\(#,##0.000\)"/>
    <numFmt numFmtId="171" formatCode="0.000"/>
    <numFmt numFmtId="173" formatCode="&quot;$&quot;#,##0.0_);\(&quot;$&quot;#,##0.0\)"/>
    <numFmt numFmtId="174" formatCode="0.000000000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i/>
      <sz val="11"/>
      <name val="Calibri"/>
      <family val="2"/>
      <scheme val="minor"/>
    </font>
    <font>
      <b/>
      <u/>
      <sz val="11"/>
      <color theme="1"/>
      <name val="Calibri"/>
      <family val="2"/>
      <scheme val="minor"/>
    </font>
    <font>
      <i/>
      <sz val="11"/>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2" fillId="0" borderId="0" xfId="0" applyFont="1"/>
    <xf numFmtId="0" fontId="2" fillId="2" borderId="0" xfId="0" applyFont="1" applyFill="1"/>
    <xf numFmtId="0" fontId="0" fillId="2" borderId="0" xfId="0" applyFill="1"/>
    <xf numFmtId="0" fontId="3" fillId="0" borderId="0" xfId="0" applyFont="1"/>
    <xf numFmtId="5" fontId="3" fillId="0" borderId="0" xfId="0" applyNumberFormat="1" applyFont="1"/>
    <xf numFmtId="37" fontId="3" fillId="0" borderId="0" xfId="1" applyNumberFormat="1" applyFont="1" applyBorder="1"/>
    <xf numFmtId="0" fontId="4" fillId="0" borderId="0" xfId="0" applyFont="1"/>
    <xf numFmtId="0" fontId="5" fillId="0" borderId="0" xfId="0" applyFont="1"/>
    <xf numFmtId="164" fontId="3" fillId="0" borderId="0" xfId="1" applyNumberFormat="1" applyFont="1" applyFill="1" applyBorder="1"/>
    <xf numFmtId="5" fontId="3" fillId="0" borderId="0" xfId="2" applyNumberFormat="1" applyFont="1" applyFill="1" applyBorder="1"/>
    <xf numFmtId="37" fontId="3" fillId="0" borderId="0" xfId="2" applyNumberFormat="1" applyFont="1" applyFill="1" applyBorder="1"/>
    <xf numFmtId="0" fontId="2" fillId="0" borderId="0" xfId="0" applyFont="1" applyAlignment="1">
      <alignment horizontal="left"/>
    </xf>
    <xf numFmtId="0" fontId="0" fillId="0" borderId="0" xfId="0" applyAlignment="1">
      <alignment wrapText="1"/>
    </xf>
    <xf numFmtId="165" fontId="0" fillId="0" borderId="0" xfId="0" applyNumberFormat="1"/>
    <xf numFmtId="5" fontId="0" fillId="0" borderId="0" xfId="0" applyNumberFormat="1"/>
    <xf numFmtId="41" fontId="0" fillId="0" borderId="0" xfId="0" applyNumberFormat="1"/>
    <xf numFmtId="165" fontId="0" fillId="0" borderId="9" xfId="0" applyNumberFormat="1" applyBorder="1"/>
    <xf numFmtId="0" fontId="2" fillId="0" borderId="0" xfId="0" applyFont="1" applyAlignment="1">
      <alignment horizontal="left" wrapText="1"/>
    </xf>
    <xf numFmtId="0" fontId="0" fillId="0" borderId="0" xfId="0" applyAlignment="1">
      <alignment horizontal="left"/>
    </xf>
    <xf numFmtId="0" fontId="6" fillId="0" borderId="0" xfId="0" applyFont="1" applyAlignment="1">
      <alignment horizontal="right"/>
    </xf>
    <xf numFmtId="38" fontId="0" fillId="0" borderId="0" xfId="0" applyNumberFormat="1"/>
    <xf numFmtId="0" fontId="2" fillId="2" borderId="0" xfId="0" applyFont="1" applyFill="1" applyAlignment="1">
      <alignment wrapText="1"/>
    </xf>
    <xf numFmtId="0" fontId="2" fillId="0" borderId="0" xfId="0" applyFont="1" applyAlignment="1">
      <alignment wrapText="1"/>
    </xf>
    <xf numFmtId="5" fontId="2" fillId="0" borderId="10" xfId="0" applyNumberFormat="1" applyFont="1" applyBorder="1" applyAlignment="1">
      <alignment horizontal="center"/>
    </xf>
    <xf numFmtId="0" fontId="2" fillId="0" borderId="10" xfId="0" applyFont="1" applyBorder="1" applyAlignment="1">
      <alignment horizontal="center" wrapText="1"/>
    </xf>
    <xf numFmtId="0" fontId="2" fillId="0" borderId="10" xfId="0" applyFont="1" applyBorder="1" applyAlignment="1">
      <alignment horizontal="center"/>
    </xf>
    <xf numFmtId="0" fontId="7" fillId="0" borderId="0" xfId="0" applyFont="1"/>
    <xf numFmtId="0" fontId="0" fillId="0" borderId="0" xfId="0" applyAlignment="1">
      <alignment horizontal="center"/>
    </xf>
    <xf numFmtId="0" fontId="7" fillId="0" borderId="0" xfId="0" applyFont="1" applyAlignment="1">
      <alignment horizontal="center" wrapText="1"/>
    </xf>
    <xf numFmtId="166" fontId="0" fillId="0" borderId="0" xfId="0" applyNumberFormat="1"/>
    <xf numFmtId="39" fontId="0" fillId="0" borderId="0" xfId="0" applyNumberFormat="1"/>
    <xf numFmtId="167" fontId="0" fillId="0" borderId="0" xfId="0" applyNumberFormat="1"/>
    <xf numFmtId="9" fontId="2" fillId="0" borderId="0" xfId="3" applyFont="1"/>
    <xf numFmtId="42" fontId="0" fillId="0" borderId="0" xfId="0" applyNumberFormat="1"/>
    <xf numFmtId="0" fontId="8" fillId="0" borderId="0" xfId="0"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0" xfId="0" applyFont="1" applyFill="1" applyAlignment="1">
      <alignment horizontal="left" wrapText="1"/>
    </xf>
    <xf numFmtId="0" fontId="2" fillId="2" borderId="0" xfId="0" applyFont="1" applyFill="1" applyAlignment="1">
      <alignment wrapText="1"/>
    </xf>
    <xf numFmtId="37" fontId="0" fillId="0" borderId="0" xfId="0" applyNumberFormat="1"/>
    <xf numFmtId="165" fontId="0" fillId="3" borderId="0" xfId="2" applyNumberFormat="1" applyFont="1" applyFill="1"/>
    <xf numFmtId="0" fontId="0" fillId="3" borderId="10" xfId="0" applyFill="1" applyBorder="1" applyAlignment="1">
      <alignment horizontal="left"/>
    </xf>
    <xf numFmtId="5" fontId="0" fillId="3" borderId="10" xfId="0" applyNumberFormat="1" applyFill="1" applyBorder="1"/>
    <xf numFmtId="171" fontId="0" fillId="3" borderId="11" xfId="0" applyNumberFormat="1" applyFill="1" applyBorder="1"/>
    <xf numFmtId="41" fontId="0" fillId="3" borderId="10" xfId="0" applyNumberFormat="1" applyFill="1" applyBorder="1"/>
    <xf numFmtId="38" fontId="0" fillId="3" borderId="10" xfId="0" applyNumberFormat="1" applyFill="1" applyBorder="1"/>
    <xf numFmtId="43" fontId="0" fillId="3" borderId="10" xfId="0" applyNumberFormat="1" applyFill="1" applyBorder="1"/>
    <xf numFmtId="2" fontId="0" fillId="3" borderId="10" xfId="0" applyNumberFormat="1" applyFill="1" applyBorder="1"/>
    <xf numFmtId="5" fontId="2" fillId="3" borderId="10" xfId="0" applyNumberFormat="1" applyFont="1" applyFill="1" applyBorder="1"/>
    <xf numFmtId="9" fontId="2" fillId="3" borderId="10" xfId="3" applyFont="1" applyFill="1" applyBorder="1"/>
    <xf numFmtId="174" fontId="2" fillId="3" borderId="10" xfId="3" applyNumberFormat="1" applyFont="1" applyFill="1" applyBorder="1"/>
    <xf numFmtId="0" fontId="0" fillId="3" borderId="10" xfId="0" applyFill="1" applyBorder="1"/>
    <xf numFmtId="9" fontId="0" fillId="3" borderId="10" xfId="0" applyNumberFormat="1" applyFill="1" applyBorder="1"/>
    <xf numFmtId="9" fontId="0" fillId="3" borderId="10" xfId="3" applyFont="1" applyFill="1" applyBorder="1"/>
    <xf numFmtId="165" fontId="0" fillId="3" borderId="11" xfId="0" applyNumberFormat="1" applyFill="1" applyBorder="1"/>
    <xf numFmtId="3" fontId="0" fillId="3" borderId="0" xfId="0" applyNumberFormat="1" applyFill="1"/>
    <xf numFmtId="5" fontId="0" fillId="3" borderId="0" xfId="0" applyNumberFormat="1" applyFill="1"/>
    <xf numFmtId="1" fontId="0" fillId="3" borderId="0" xfId="0" applyNumberFormat="1" applyFill="1"/>
    <xf numFmtId="0" fontId="0" fillId="3" borderId="0" xfId="0" applyFill="1"/>
    <xf numFmtId="173" fontId="0" fillId="3" borderId="0" xfId="0" applyNumberFormat="1" applyFill="1"/>
    <xf numFmtId="7" fontId="0" fillId="3" borderId="0" xfId="0" applyNumberFormat="1" applyFill="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9F731-4D60-4154-A3F3-D63E86108853}">
  <dimension ref="A1:D47"/>
  <sheetViews>
    <sheetView topLeftCell="A32" zoomScale="90" zoomScaleNormal="90" workbookViewId="0">
      <selection activeCell="B39" sqref="B39:B42"/>
    </sheetView>
  </sheetViews>
  <sheetFormatPr defaultColWidth="9.140625" defaultRowHeight="15" x14ac:dyDescent="0.25"/>
  <cols>
    <col min="1" max="1" width="20.42578125" customWidth="1"/>
    <col min="2" max="2" width="15.5703125" bestFit="1" customWidth="1"/>
  </cols>
  <sheetData>
    <row r="1" spans="1:4" x14ac:dyDescent="0.25">
      <c r="A1" s="1" t="s">
        <v>0</v>
      </c>
    </row>
    <row r="2" spans="1:4" x14ac:dyDescent="0.25">
      <c r="A2" s="1" t="s">
        <v>1</v>
      </c>
    </row>
    <row r="4" spans="1:4" x14ac:dyDescent="0.25">
      <c r="A4" s="2" t="s">
        <v>2</v>
      </c>
      <c r="B4" s="3"/>
      <c r="C4" s="3"/>
      <c r="D4" s="3"/>
    </row>
    <row r="5" spans="1:4" x14ac:dyDescent="0.25">
      <c r="A5" s="4" t="s">
        <v>3</v>
      </c>
      <c r="B5" s="5">
        <v>23750000</v>
      </c>
    </row>
    <row r="6" spans="1:4" x14ac:dyDescent="0.25">
      <c r="A6" s="4" t="s">
        <v>4</v>
      </c>
      <c r="B6" s="5">
        <v>525</v>
      </c>
    </row>
    <row r="7" spans="1:4" x14ac:dyDescent="0.25">
      <c r="A7" s="4" t="s">
        <v>5</v>
      </c>
      <c r="B7" s="5">
        <v>2575</v>
      </c>
    </row>
    <row r="8" spans="1:4" x14ac:dyDescent="0.25">
      <c r="A8" s="4" t="s">
        <v>6</v>
      </c>
      <c r="B8" s="6">
        <v>14500</v>
      </c>
    </row>
    <row r="10" spans="1:4" x14ac:dyDescent="0.25">
      <c r="A10" s="7" t="s">
        <v>7</v>
      </c>
    </row>
    <row r="11" spans="1:4" x14ac:dyDescent="0.25">
      <c r="A11" s="4" t="s">
        <v>84</v>
      </c>
      <c r="B11" s="64">
        <f>B7*B8</f>
        <v>37337500</v>
      </c>
    </row>
    <row r="12" spans="1:4" x14ac:dyDescent="0.25">
      <c r="A12" s="4" t="s">
        <v>85</v>
      </c>
      <c r="B12" s="64">
        <f>B6*B8</f>
        <v>7612500</v>
      </c>
    </row>
    <row r="13" spans="1:4" x14ac:dyDescent="0.25">
      <c r="A13" s="4" t="s">
        <v>86</v>
      </c>
      <c r="B13" s="64">
        <f>B11-B12</f>
        <v>29725000</v>
      </c>
    </row>
    <row r="14" spans="1:4" x14ac:dyDescent="0.25">
      <c r="A14" s="4" t="s">
        <v>87</v>
      </c>
      <c r="B14" s="64">
        <f>B5</f>
        <v>23750000</v>
      </c>
    </row>
    <row r="15" spans="1:4" x14ac:dyDescent="0.25">
      <c r="A15" s="4" t="s">
        <v>88</v>
      </c>
      <c r="B15" s="64">
        <f>B13-B14</f>
        <v>5975000</v>
      </c>
    </row>
    <row r="19" spans="1:2" x14ac:dyDescent="0.25">
      <c r="A19" s="1" t="s">
        <v>8</v>
      </c>
    </row>
    <row r="21" spans="1:2" x14ac:dyDescent="0.25">
      <c r="A21" t="s">
        <v>89</v>
      </c>
      <c r="B21" s="65">
        <f>B5/(B7-B6)</f>
        <v>11585.365853658537</v>
      </c>
    </row>
    <row r="28" spans="1:2" x14ac:dyDescent="0.25">
      <c r="A28" s="1" t="s">
        <v>9</v>
      </c>
    </row>
    <row r="30" spans="1:2" x14ac:dyDescent="0.25">
      <c r="A30" t="s">
        <v>90</v>
      </c>
      <c r="B30" s="66">
        <f>(B5+B15)/(B7-B6)</f>
        <v>14500</v>
      </c>
    </row>
    <row r="37" spans="1:2" x14ac:dyDescent="0.25">
      <c r="A37" s="1" t="s">
        <v>10</v>
      </c>
    </row>
    <row r="39" spans="1:2" x14ac:dyDescent="0.25">
      <c r="A39" t="s">
        <v>91</v>
      </c>
      <c r="B39" s="67">
        <f>0.2*B7</f>
        <v>515</v>
      </c>
    </row>
    <row r="40" spans="1:2" x14ac:dyDescent="0.25">
      <c r="B40" s="67">
        <f>B7-B39</f>
        <v>2060</v>
      </c>
    </row>
    <row r="41" spans="1:2" x14ac:dyDescent="0.25">
      <c r="A41" t="s">
        <v>92</v>
      </c>
      <c r="B41" s="68">
        <f>(B40-B6)*B8</f>
        <v>22257500</v>
      </c>
    </row>
    <row r="42" spans="1:2" x14ac:dyDescent="0.25">
      <c r="A42" t="s">
        <v>93</v>
      </c>
      <c r="B42" s="68">
        <f>B41-B5</f>
        <v>-1492500</v>
      </c>
    </row>
    <row r="45" spans="1:2" x14ac:dyDescent="0.25">
      <c r="A45" s="1" t="s">
        <v>11</v>
      </c>
    </row>
    <row r="47" spans="1:2" x14ac:dyDescent="0.25">
      <c r="A47" t="s">
        <v>112</v>
      </c>
    </row>
  </sheetData>
  <pageMargins left="0.7" right="0.7" top="0.75" bottom="0.75" header="0.3" footer="0.3"/>
  <pageSetup orientation="portrait" horizontalDpi="0" verticalDpi="0" r:id="rId1"/>
  <ignoredErrors>
    <ignoredError sqref="B1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B2904-6897-4263-8D76-F0BC8E02C43A}">
  <dimension ref="A1:E51"/>
  <sheetViews>
    <sheetView topLeftCell="A28" zoomScale="80" zoomScaleNormal="80" workbookViewId="0">
      <selection activeCell="E46" sqref="E45:E46"/>
    </sheetView>
  </sheetViews>
  <sheetFormatPr defaultColWidth="9.140625" defaultRowHeight="15" x14ac:dyDescent="0.25"/>
  <cols>
    <col min="1" max="1" width="24.140625" customWidth="1"/>
    <col min="2" max="2" width="13" customWidth="1"/>
    <col min="3" max="3" width="10.7109375" bestFit="1" customWidth="1"/>
    <col min="4" max="4" width="12.140625" bestFit="1" customWidth="1"/>
  </cols>
  <sheetData>
    <row r="1" spans="1:5" x14ac:dyDescent="0.25">
      <c r="A1" s="1" t="s">
        <v>0</v>
      </c>
    </row>
    <row r="2" spans="1:5" x14ac:dyDescent="0.25">
      <c r="A2" s="1" t="s">
        <v>12</v>
      </c>
    </row>
    <row r="4" spans="1:5" x14ac:dyDescent="0.25">
      <c r="A4" s="36" t="s">
        <v>13</v>
      </c>
      <c r="B4" s="37"/>
      <c r="C4" s="37"/>
      <c r="D4" s="37"/>
      <c r="E4" s="38"/>
    </row>
    <row r="5" spans="1:5" x14ac:dyDescent="0.25">
      <c r="A5" s="39"/>
      <c r="B5" s="40"/>
      <c r="C5" s="40"/>
      <c r="D5" s="40"/>
      <c r="E5" s="41"/>
    </row>
    <row r="6" spans="1:5" x14ac:dyDescent="0.25">
      <c r="A6" s="39"/>
      <c r="B6" s="40"/>
      <c r="C6" s="40"/>
      <c r="D6" s="40"/>
      <c r="E6" s="41"/>
    </row>
    <row r="7" spans="1:5" x14ac:dyDescent="0.25">
      <c r="A7" s="42"/>
      <c r="B7" s="43"/>
      <c r="C7" s="43"/>
      <c r="D7" s="43"/>
      <c r="E7" s="44"/>
    </row>
    <row r="8" spans="1:5" x14ac:dyDescent="0.25">
      <c r="A8" s="8"/>
      <c r="B8" s="4"/>
    </row>
    <row r="9" spans="1:5" x14ac:dyDescent="0.25">
      <c r="A9" s="4" t="s">
        <v>14</v>
      </c>
      <c r="B9" s="9">
        <v>12000</v>
      </c>
    </row>
    <row r="10" spans="1:5" x14ac:dyDescent="0.25">
      <c r="A10" s="4" t="s">
        <v>15</v>
      </c>
      <c r="B10" s="10">
        <v>650000</v>
      </c>
    </row>
    <row r="11" spans="1:5" x14ac:dyDescent="0.25">
      <c r="A11" s="4" t="s">
        <v>16</v>
      </c>
      <c r="B11" s="11">
        <v>300000</v>
      </c>
    </row>
    <row r="12" spans="1:5" x14ac:dyDescent="0.25">
      <c r="A12" s="4" t="s">
        <v>17</v>
      </c>
      <c r="B12" s="11">
        <v>6500</v>
      </c>
    </row>
    <row r="13" spans="1:5" x14ac:dyDescent="0.25">
      <c r="A13" s="4" t="s">
        <v>18</v>
      </c>
      <c r="B13" s="11">
        <v>40000</v>
      </c>
    </row>
    <row r="14" spans="1:5" x14ac:dyDescent="0.25">
      <c r="A14" s="4" t="s">
        <v>19</v>
      </c>
      <c r="B14" s="11">
        <v>4200</v>
      </c>
    </row>
    <row r="15" spans="1:5" x14ac:dyDescent="0.25">
      <c r="A15" s="4" t="s">
        <v>20</v>
      </c>
      <c r="B15" s="11">
        <v>55000</v>
      </c>
    </row>
    <row r="16" spans="1:5" x14ac:dyDescent="0.25">
      <c r="A16" s="4" t="s">
        <v>21</v>
      </c>
      <c r="B16" s="11">
        <v>10000</v>
      </c>
    </row>
    <row r="18" spans="1:4" x14ac:dyDescent="0.25">
      <c r="A18" s="7" t="s">
        <v>22</v>
      </c>
    </row>
    <row r="20" spans="1:4" x14ac:dyDescent="0.25">
      <c r="A20" t="s">
        <v>94</v>
      </c>
      <c r="B20" t="s">
        <v>95</v>
      </c>
      <c r="C20" t="s">
        <v>96</v>
      </c>
      <c r="D20" t="s">
        <v>97</v>
      </c>
    </row>
    <row r="21" spans="1:4" x14ac:dyDescent="0.25">
      <c r="A21" s="1" t="s">
        <v>98</v>
      </c>
      <c r="C21" t="s">
        <v>78</v>
      </c>
      <c r="D21" s="15">
        <f>B10</f>
        <v>650000</v>
      </c>
    </row>
    <row r="22" spans="1:4" x14ac:dyDescent="0.25">
      <c r="A22" t="s">
        <v>99</v>
      </c>
      <c r="B22" s="47">
        <f>B15</f>
        <v>55000</v>
      </c>
    </row>
    <row r="23" spans="1:4" x14ac:dyDescent="0.25">
      <c r="A23" t="s">
        <v>21</v>
      </c>
      <c r="B23" s="47">
        <f>B16</f>
        <v>10000</v>
      </c>
    </row>
    <row r="24" spans="1:4" x14ac:dyDescent="0.25">
      <c r="A24" s="1" t="s">
        <v>87</v>
      </c>
    </row>
    <row r="25" spans="1:4" x14ac:dyDescent="0.25">
      <c r="A25" t="s">
        <v>100</v>
      </c>
      <c r="B25" s="47">
        <f>B11</f>
        <v>300000</v>
      </c>
    </row>
    <row r="26" spans="1:4" x14ac:dyDescent="0.25">
      <c r="A26" t="s">
        <v>17</v>
      </c>
      <c r="B26" s="47">
        <f>B12</f>
        <v>6500</v>
      </c>
    </row>
    <row r="27" spans="1:4" x14ac:dyDescent="0.25">
      <c r="A27" t="s">
        <v>18</v>
      </c>
      <c r="B27" s="47">
        <f>B13</f>
        <v>40000</v>
      </c>
    </row>
    <row r="28" spans="1:4" x14ac:dyDescent="0.25">
      <c r="A28" t="s">
        <v>19</v>
      </c>
      <c r="B28" s="47">
        <f>B14</f>
        <v>4200</v>
      </c>
    </row>
    <row r="29" spans="1:4" x14ac:dyDescent="0.25">
      <c r="A29" t="s">
        <v>88</v>
      </c>
      <c r="B29" s="47">
        <f>B10-(SUM(B11:B16))</f>
        <v>234300</v>
      </c>
    </row>
    <row r="30" spans="1:4" x14ac:dyDescent="0.25">
      <c r="A30" t="s">
        <v>70</v>
      </c>
      <c r="B30" s="15">
        <f>B10</f>
        <v>650000</v>
      </c>
      <c r="C30" t="s">
        <v>70</v>
      </c>
      <c r="D30" s="15">
        <f>B10</f>
        <v>650000</v>
      </c>
    </row>
    <row r="36" spans="1:4" x14ac:dyDescent="0.25">
      <c r="A36" s="1" t="s">
        <v>23</v>
      </c>
    </row>
    <row r="38" spans="1:4" x14ac:dyDescent="0.25">
      <c r="A38" t="s">
        <v>101</v>
      </c>
      <c r="B38" s="48">
        <f>B30- (B22+B23)</f>
        <v>585000</v>
      </c>
    </row>
    <row r="40" spans="1:4" x14ac:dyDescent="0.25">
      <c r="A40" s="1" t="s">
        <v>24</v>
      </c>
    </row>
    <row r="42" spans="1:4" x14ac:dyDescent="0.25">
      <c r="A42" t="s">
        <v>102</v>
      </c>
      <c r="B42" s="48">
        <f>B38/B9</f>
        <v>48.75</v>
      </c>
    </row>
    <row r="44" spans="1:4" x14ac:dyDescent="0.25">
      <c r="A44" s="1" t="s">
        <v>25</v>
      </c>
      <c r="D44" s="47"/>
    </row>
    <row r="46" spans="1:4" x14ac:dyDescent="0.25">
      <c r="A46" t="s">
        <v>103</v>
      </c>
      <c r="B46" s="48">
        <f>SUM(B25:B28)/(50-B42)</f>
        <v>280560</v>
      </c>
    </row>
    <row r="48" spans="1:4" x14ac:dyDescent="0.25">
      <c r="A48" s="1" t="s">
        <v>26</v>
      </c>
      <c r="D48" s="63">
        <v>1802800</v>
      </c>
    </row>
    <row r="50" spans="1:2" x14ac:dyDescent="0.25">
      <c r="A50" t="s">
        <v>109</v>
      </c>
      <c r="B50" t="s">
        <v>111</v>
      </c>
    </row>
    <row r="51" spans="1:2" x14ac:dyDescent="0.25">
      <c r="A51" t="s">
        <v>110</v>
      </c>
    </row>
  </sheetData>
  <mergeCells count="1">
    <mergeCell ref="A4:E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DBA83-12F2-4425-9D5C-E869634DE0C1}">
  <dimension ref="A1:M139"/>
  <sheetViews>
    <sheetView tabSelected="1" zoomScale="80" zoomScaleNormal="80" workbookViewId="0">
      <selection activeCell="B54" sqref="B54"/>
    </sheetView>
  </sheetViews>
  <sheetFormatPr defaultColWidth="9.140625" defaultRowHeight="15" x14ac:dyDescent="0.25"/>
  <cols>
    <col min="1" max="1" width="34.7109375" customWidth="1"/>
    <col min="2" max="2" width="19" customWidth="1"/>
    <col min="3" max="3" width="19.42578125" customWidth="1"/>
    <col min="4" max="4" width="18.85546875" customWidth="1"/>
    <col min="5" max="5" width="16.85546875" customWidth="1"/>
    <col min="6" max="6" width="17.7109375" customWidth="1"/>
    <col min="7" max="7" width="14.42578125" customWidth="1"/>
    <col min="8" max="8" width="8.7109375" customWidth="1"/>
    <col min="9" max="9" width="24.7109375" customWidth="1"/>
    <col min="10" max="10" width="15.85546875" customWidth="1"/>
    <col min="11" max="11" width="13.140625" customWidth="1"/>
    <col min="12" max="12" width="14.140625" customWidth="1"/>
    <col min="13" max="13" width="15" customWidth="1"/>
  </cols>
  <sheetData>
    <row r="1" spans="1:5" x14ac:dyDescent="0.25">
      <c r="A1" s="1" t="s">
        <v>27</v>
      </c>
    </row>
    <row r="2" spans="1:5" x14ac:dyDescent="0.25">
      <c r="A2" s="12" t="s">
        <v>28</v>
      </c>
    </row>
    <row r="3" spans="1:5" x14ac:dyDescent="0.25">
      <c r="A3" s="1"/>
    </row>
    <row r="4" spans="1:5" x14ac:dyDescent="0.25">
      <c r="A4" s="45" t="s">
        <v>29</v>
      </c>
      <c r="B4" s="45"/>
      <c r="C4" s="45"/>
      <c r="D4" s="45"/>
    </row>
    <row r="5" spans="1:5" x14ac:dyDescent="0.25">
      <c r="A5" s="45"/>
      <c r="B5" s="45"/>
      <c r="C5" s="45"/>
      <c r="D5" s="45"/>
    </row>
    <row r="6" spans="1:5" x14ac:dyDescent="0.25">
      <c r="A6" s="45"/>
      <c r="B6" s="45"/>
      <c r="C6" s="45"/>
      <c r="D6" s="45"/>
    </row>
    <row r="7" spans="1:5" x14ac:dyDescent="0.25">
      <c r="A7" s="45"/>
      <c r="B7" s="45"/>
      <c r="C7" s="45"/>
      <c r="D7" s="45"/>
    </row>
    <row r="8" spans="1:5" ht="17.25" customHeight="1" x14ac:dyDescent="0.25">
      <c r="A8" s="13"/>
      <c r="B8" s="13"/>
      <c r="C8" s="13"/>
      <c r="D8" s="13"/>
      <c r="E8" s="13"/>
    </row>
    <row r="9" spans="1:5" x14ac:dyDescent="0.25">
      <c r="A9" s="1" t="s">
        <v>30</v>
      </c>
    </row>
    <row r="10" spans="1:5" x14ac:dyDescent="0.25">
      <c r="A10" s="1"/>
    </row>
    <row r="11" spans="1:5" x14ac:dyDescent="0.25">
      <c r="A11" s="1" t="s">
        <v>15</v>
      </c>
    </row>
    <row r="12" spans="1:5" x14ac:dyDescent="0.25">
      <c r="A12" t="s">
        <v>31</v>
      </c>
      <c r="B12" s="14">
        <v>19250000</v>
      </c>
      <c r="C12" s="15"/>
    </row>
    <row r="13" spans="1:5" x14ac:dyDescent="0.25">
      <c r="A13" t="s">
        <v>32</v>
      </c>
      <c r="B13" s="16">
        <v>28500000</v>
      </c>
      <c r="C13" s="16"/>
    </row>
    <row r="14" spans="1:5" x14ac:dyDescent="0.25">
      <c r="A14" t="s">
        <v>33</v>
      </c>
      <c r="B14" s="16">
        <v>11500000</v>
      </c>
      <c r="C14" s="16"/>
    </row>
    <row r="15" spans="1:5" x14ac:dyDescent="0.25">
      <c r="A15" t="s">
        <v>34</v>
      </c>
      <c r="B15" s="17">
        <f>SUM(B12:B14)</f>
        <v>59250000</v>
      </c>
      <c r="C15" s="15"/>
    </row>
    <row r="16" spans="1:5" x14ac:dyDescent="0.25">
      <c r="B16" s="14"/>
    </row>
    <row r="17" spans="1:4" x14ac:dyDescent="0.25">
      <c r="A17" s="1" t="s">
        <v>35</v>
      </c>
      <c r="B17" s="14"/>
    </row>
    <row r="18" spans="1:4" x14ac:dyDescent="0.25">
      <c r="A18" t="s">
        <v>31</v>
      </c>
      <c r="B18" s="14">
        <v>11250000</v>
      </c>
      <c r="C18" s="15"/>
    </row>
    <row r="19" spans="1:4" x14ac:dyDescent="0.25">
      <c r="A19" t="s">
        <v>32</v>
      </c>
      <c r="B19" s="16">
        <v>14250000</v>
      </c>
      <c r="C19" s="16"/>
    </row>
    <row r="20" spans="1:4" x14ac:dyDescent="0.25">
      <c r="A20" t="s">
        <v>33</v>
      </c>
      <c r="B20" s="16">
        <v>4500000</v>
      </c>
      <c r="C20" s="16"/>
    </row>
    <row r="21" spans="1:4" x14ac:dyDescent="0.25">
      <c r="A21" t="s">
        <v>36</v>
      </c>
      <c r="B21" s="17">
        <f>SUM(B18:B20)</f>
        <v>30000000</v>
      </c>
      <c r="C21" s="15"/>
    </row>
    <row r="22" spans="1:4" x14ac:dyDescent="0.25">
      <c r="B22" s="14"/>
    </row>
    <row r="23" spans="1:4" x14ac:dyDescent="0.25">
      <c r="A23" s="1" t="s">
        <v>37</v>
      </c>
      <c r="B23" s="14"/>
    </row>
    <row r="24" spans="1:4" x14ac:dyDescent="0.25">
      <c r="A24" t="s">
        <v>38</v>
      </c>
      <c r="B24" s="14">
        <v>5000000</v>
      </c>
      <c r="C24" s="15"/>
    </row>
    <row r="25" spans="1:4" x14ac:dyDescent="0.25">
      <c r="A25" t="s">
        <v>39</v>
      </c>
      <c r="B25" s="16">
        <v>9500000</v>
      </c>
      <c r="C25" s="16"/>
    </row>
    <row r="26" spans="1:4" x14ac:dyDescent="0.25">
      <c r="A26" t="s">
        <v>40</v>
      </c>
      <c r="B26" s="16">
        <v>3000000</v>
      </c>
      <c r="C26" s="16"/>
    </row>
    <row r="27" spans="1:4" x14ac:dyDescent="0.25">
      <c r="A27" t="s">
        <v>41</v>
      </c>
      <c r="B27" s="16">
        <v>4500000</v>
      </c>
      <c r="C27" s="16"/>
    </row>
    <row r="28" spans="1:4" x14ac:dyDescent="0.25">
      <c r="A28" t="s">
        <v>42</v>
      </c>
      <c r="B28" s="17">
        <f>SUM(B24:B27)</f>
        <v>22000000</v>
      </c>
      <c r="C28" s="15"/>
    </row>
    <row r="29" spans="1:4" x14ac:dyDescent="0.25">
      <c r="A29" t="s">
        <v>43</v>
      </c>
      <c r="B29" s="17">
        <f>+B21+B28</f>
        <v>52000000</v>
      </c>
      <c r="C29" s="15"/>
    </row>
    <row r="30" spans="1:4" x14ac:dyDescent="0.25">
      <c r="A30" t="s">
        <v>44</v>
      </c>
      <c r="B30" s="17">
        <f>+B15-B29</f>
        <v>7250000</v>
      </c>
      <c r="C30" s="15"/>
    </row>
    <row r="31" spans="1:4" x14ac:dyDescent="0.25">
      <c r="B31" s="15"/>
      <c r="C31" s="15"/>
    </row>
    <row r="32" spans="1:4" x14ac:dyDescent="0.25">
      <c r="A32" s="46" t="s">
        <v>45</v>
      </c>
      <c r="B32" s="46"/>
      <c r="C32" s="46"/>
      <c r="D32" s="46"/>
    </row>
    <row r="33" spans="1:6" x14ac:dyDescent="0.25">
      <c r="A33" s="46"/>
      <c r="B33" s="46"/>
      <c r="C33" s="46"/>
      <c r="D33" s="46"/>
    </row>
    <row r="34" spans="1:6" x14ac:dyDescent="0.25">
      <c r="B34" s="15"/>
      <c r="C34" s="15"/>
    </row>
    <row r="35" spans="1:6" x14ac:dyDescent="0.25">
      <c r="A35" s="1" t="s">
        <v>46</v>
      </c>
      <c r="B35" s="18" t="s">
        <v>47</v>
      </c>
      <c r="C35" s="15"/>
    </row>
    <row r="36" spans="1:6" x14ac:dyDescent="0.25">
      <c r="A36" t="s">
        <v>48</v>
      </c>
      <c r="B36" s="19" t="s">
        <v>49</v>
      </c>
      <c r="C36" s="15"/>
    </row>
    <row r="37" spans="1:6" x14ac:dyDescent="0.25">
      <c r="A37" t="s">
        <v>50</v>
      </c>
      <c r="B37" s="19" t="s">
        <v>51</v>
      </c>
      <c r="C37" s="15"/>
    </row>
    <row r="38" spans="1:6" x14ac:dyDescent="0.25">
      <c r="A38" t="s">
        <v>52</v>
      </c>
      <c r="B38" s="19" t="s">
        <v>53</v>
      </c>
      <c r="C38" s="15"/>
    </row>
    <row r="39" spans="1:6" x14ac:dyDescent="0.25">
      <c r="A39" t="s">
        <v>54</v>
      </c>
      <c r="B39" s="19" t="s">
        <v>55</v>
      </c>
    </row>
    <row r="40" spans="1:6" x14ac:dyDescent="0.25">
      <c r="A40" s="1"/>
    </row>
    <row r="41" spans="1:6" x14ac:dyDescent="0.25">
      <c r="A41" s="2" t="s">
        <v>56</v>
      </c>
    </row>
    <row r="42" spans="1:6" x14ac:dyDescent="0.25">
      <c r="A42" s="1" t="s">
        <v>47</v>
      </c>
      <c r="B42" s="20" t="s">
        <v>57</v>
      </c>
      <c r="C42" s="20" t="s">
        <v>58</v>
      </c>
      <c r="D42" s="20" t="s">
        <v>59</v>
      </c>
      <c r="E42" s="20" t="s">
        <v>60</v>
      </c>
    </row>
    <row r="43" spans="1:6" x14ac:dyDescent="0.25">
      <c r="A43" t="s">
        <v>61</v>
      </c>
      <c r="B43" s="21">
        <v>285000</v>
      </c>
      <c r="C43" s="21">
        <v>225000</v>
      </c>
      <c r="D43" s="21">
        <v>75000</v>
      </c>
      <c r="E43" s="21">
        <f>SUM(B43:D43)</f>
        <v>585000</v>
      </c>
    </row>
    <row r="44" spans="1:6" x14ac:dyDescent="0.25">
      <c r="A44" t="s">
        <v>62</v>
      </c>
      <c r="B44" s="21">
        <v>85000</v>
      </c>
      <c r="C44" s="21">
        <v>60000</v>
      </c>
      <c r="D44" s="21">
        <v>25000</v>
      </c>
      <c r="E44" s="21">
        <f>SUM(B44:D44)</f>
        <v>170000</v>
      </c>
    </row>
    <row r="45" spans="1:6" x14ac:dyDescent="0.25">
      <c r="A45" t="s">
        <v>63</v>
      </c>
      <c r="B45" s="15">
        <v>6500000</v>
      </c>
      <c r="C45" s="15">
        <v>9000000</v>
      </c>
      <c r="D45" s="15">
        <v>2500000</v>
      </c>
      <c r="E45" s="15">
        <f>SUM(B45:D45)</f>
        <v>18000000</v>
      </c>
    </row>
    <row r="47" spans="1:6" x14ac:dyDescent="0.25">
      <c r="C47" s="15"/>
      <c r="D47" s="15"/>
    </row>
    <row r="48" spans="1:6" ht="15" customHeight="1" x14ac:dyDescent="0.25">
      <c r="A48" s="2" t="s">
        <v>64</v>
      </c>
      <c r="B48" s="22"/>
      <c r="C48" s="22"/>
      <c r="D48" s="22"/>
      <c r="E48" s="22"/>
      <c r="F48" s="3"/>
    </row>
    <row r="49" spans="1:8" x14ac:dyDescent="0.25">
      <c r="A49" s="23"/>
      <c r="B49" s="23"/>
      <c r="C49" s="23"/>
      <c r="D49" s="23"/>
      <c r="E49" s="23"/>
    </row>
    <row r="50" spans="1:8" ht="17.25" customHeight="1" x14ac:dyDescent="0.25">
      <c r="A50" s="1"/>
      <c r="D50" s="13"/>
      <c r="E50" s="13"/>
      <c r="F50" s="13"/>
      <c r="G50" s="13"/>
      <c r="H50" s="13"/>
    </row>
    <row r="51" spans="1:8" ht="17.25" customHeight="1" x14ac:dyDescent="0.25">
      <c r="A51" s="2" t="s">
        <v>65</v>
      </c>
      <c r="B51" s="3"/>
      <c r="C51" s="3"/>
      <c r="D51" s="3"/>
      <c r="E51" s="3"/>
      <c r="F51" s="13"/>
      <c r="G51" s="13"/>
      <c r="H51" s="13"/>
    </row>
    <row r="52" spans="1:8" ht="18.75" customHeight="1" x14ac:dyDescent="0.25">
      <c r="A52" s="1" t="s">
        <v>46</v>
      </c>
      <c r="B52" s="24" t="s">
        <v>66</v>
      </c>
      <c r="C52" s="25" t="s">
        <v>47</v>
      </c>
      <c r="D52" s="26" t="s">
        <v>60</v>
      </c>
      <c r="E52" s="26" t="s">
        <v>67</v>
      </c>
      <c r="F52" s="27"/>
    </row>
    <row r="53" spans="1:8" x14ac:dyDescent="0.25">
      <c r="A53" t="s">
        <v>48</v>
      </c>
      <c r="B53" s="62">
        <f>B24</f>
        <v>5000000</v>
      </c>
      <c r="C53" s="49" t="s">
        <v>104</v>
      </c>
      <c r="D53" s="50">
        <f>B15</f>
        <v>59250000</v>
      </c>
      <c r="E53" s="51">
        <f>B53/D53</f>
        <v>8.4388185654008435E-2</v>
      </c>
    </row>
    <row r="54" spans="1:8" x14ac:dyDescent="0.25">
      <c r="A54" t="s">
        <v>50</v>
      </c>
      <c r="B54" s="52">
        <f>B25</f>
        <v>9500000</v>
      </c>
      <c r="C54" s="49" t="s">
        <v>61</v>
      </c>
      <c r="D54" s="53">
        <f>E43</f>
        <v>585000</v>
      </c>
      <c r="E54" s="54">
        <f>B54/D54</f>
        <v>16.239316239316238</v>
      </c>
    </row>
    <row r="55" spans="1:8" x14ac:dyDescent="0.25">
      <c r="A55" t="s">
        <v>52</v>
      </c>
      <c r="B55" s="52">
        <f>B26</f>
        <v>3000000</v>
      </c>
      <c r="C55" s="49" t="s">
        <v>105</v>
      </c>
      <c r="D55" s="53">
        <f>E44</f>
        <v>170000</v>
      </c>
      <c r="E55" s="54">
        <f>B55/D55</f>
        <v>17.647058823529413</v>
      </c>
    </row>
    <row r="56" spans="1:8" x14ac:dyDescent="0.25">
      <c r="A56" t="s">
        <v>54</v>
      </c>
      <c r="B56" s="52">
        <f>B27</f>
        <v>4500000</v>
      </c>
      <c r="C56" s="49" t="s">
        <v>55</v>
      </c>
      <c r="D56" s="50">
        <f>E45</f>
        <v>18000000</v>
      </c>
      <c r="E56" s="55">
        <f>B56/D56</f>
        <v>0.25</v>
      </c>
    </row>
    <row r="58" spans="1:8" x14ac:dyDescent="0.25">
      <c r="A58" s="2" t="s">
        <v>68</v>
      </c>
      <c r="B58" s="28"/>
      <c r="C58" s="28"/>
      <c r="D58" s="28"/>
      <c r="E58" s="28"/>
    </row>
    <row r="59" spans="1:8" ht="24.75" customHeight="1" x14ac:dyDescent="0.25">
      <c r="A59" s="1" t="s">
        <v>69</v>
      </c>
      <c r="B59" s="26" t="s">
        <v>57</v>
      </c>
      <c r="C59" s="26" t="s">
        <v>58</v>
      </c>
      <c r="D59" s="26" t="s">
        <v>59</v>
      </c>
      <c r="E59" s="26" t="s">
        <v>70</v>
      </c>
      <c r="H59" s="29"/>
    </row>
    <row r="60" spans="1:8" ht="20.100000000000001" customHeight="1" x14ac:dyDescent="0.25">
      <c r="A60" t="s">
        <v>71</v>
      </c>
      <c r="B60" s="50">
        <f>E53*B12</f>
        <v>1624472.5738396624</v>
      </c>
      <c r="C60" s="50">
        <f>E53*B13</f>
        <v>2405063.2911392404</v>
      </c>
      <c r="D60" s="50">
        <f>E53*B14</f>
        <v>970464.13502109703</v>
      </c>
      <c r="E60" s="50">
        <f>SUM(B60:D60)</f>
        <v>5000000</v>
      </c>
      <c r="H60" s="30"/>
    </row>
    <row r="61" spans="1:8" ht="20.100000000000001" customHeight="1" x14ac:dyDescent="0.25">
      <c r="A61" t="s">
        <v>72</v>
      </c>
      <c r="B61" s="52">
        <f>E54*B43</f>
        <v>4628205.128205128</v>
      </c>
      <c r="C61" s="52">
        <f>E54*C43</f>
        <v>3653846.1538461535</v>
      </c>
      <c r="D61" s="52">
        <f>D43</f>
        <v>75000</v>
      </c>
      <c r="E61" s="52">
        <f>B61+C61+D61</f>
        <v>8357051.282051282</v>
      </c>
      <c r="H61" s="31"/>
    </row>
    <row r="62" spans="1:8" ht="20.100000000000001" customHeight="1" x14ac:dyDescent="0.25">
      <c r="A62" t="s">
        <v>73</v>
      </c>
      <c r="B62" s="52">
        <f>E56*B44</f>
        <v>21250</v>
      </c>
      <c r="C62" s="52">
        <f>E55*C44</f>
        <v>1058823.5294117648</v>
      </c>
      <c r="D62" s="52">
        <f>E55*D44</f>
        <v>441176.4705882353</v>
      </c>
      <c r="E62" s="52">
        <f>B62+C62+D62</f>
        <v>1521250</v>
      </c>
      <c r="H62" s="31"/>
    </row>
    <row r="63" spans="1:8" ht="20.100000000000001" customHeight="1" x14ac:dyDescent="0.25">
      <c r="A63" t="s">
        <v>74</v>
      </c>
      <c r="B63" s="52">
        <f>E56*B45</f>
        <v>1625000</v>
      </c>
      <c r="C63" s="52">
        <f>E56*C45</f>
        <v>2250000</v>
      </c>
      <c r="D63" s="52">
        <f>E56*D45</f>
        <v>625000</v>
      </c>
      <c r="E63" s="52">
        <f>B63+C63+D63</f>
        <v>4500000</v>
      </c>
      <c r="H63" s="32"/>
    </row>
    <row r="64" spans="1:8" ht="20.100000000000001" customHeight="1" x14ac:dyDescent="0.25">
      <c r="A64" t="s">
        <v>75</v>
      </c>
      <c r="B64" s="50">
        <f>SUM(B60:B63)</f>
        <v>7898927.7020447906</v>
      </c>
      <c r="C64" s="50">
        <f>SUM(C60:C63)</f>
        <v>9367732.9743971583</v>
      </c>
      <c r="D64" s="50">
        <f>SUM(D60:D63)</f>
        <v>2111640.6056093322</v>
      </c>
      <c r="E64" s="50">
        <f>SUM(E60:E63)</f>
        <v>19378301.28205128</v>
      </c>
    </row>
    <row r="66" spans="1:13" x14ac:dyDescent="0.25">
      <c r="A66" s="2" t="s">
        <v>76</v>
      </c>
    </row>
    <row r="67" spans="1:13" ht="21" customHeight="1" x14ac:dyDescent="0.25">
      <c r="A67" s="1" t="s">
        <v>77</v>
      </c>
      <c r="B67" s="26" t="s">
        <v>57</v>
      </c>
      <c r="C67" s="26" t="s">
        <v>58</v>
      </c>
      <c r="D67" s="26" t="s">
        <v>59</v>
      </c>
      <c r="E67" s="26" t="s">
        <v>70</v>
      </c>
    </row>
    <row r="68" spans="1:13" ht="20.100000000000001" customHeight="1" x14ac:dyDescent="0.25">
      <c r="A68" t="s">
        <v>78</v>
      </c>
      <c r="B68" s="50">
        <f>B15</f>
        <v>59250000</v>
      </c>
      <c r="C68" s="50"/>
      <c r="D68" s="50"/>
      <c r="E68" s="50"/>
    </row>
    <row r="69" spans="1:13" ht="20.100000000000001" customHeight="1" x14ac:dyDescent="0.25">
      <c r="A69" t="s">
        <v>35</v>
      </c>
      <c r="B69" s="50">
        <f>B21</f>
        <v>30000000</v>
      </c>
      <c r="C69" s="52"/>
      <c r="D69" s="52"/>
      <c r="E69" s="52"/>
    </row>
    <row r="70" spans="1:13" ht="20.100000000000001" customHeight="1" x14ac:dyDescent="0.25">
      <c r="A70" t="s">
        <v>79</v>
      </c>
      <c r="B70" s="50">
        <f>B28</f>
        <v>22000000</v>
      </c>
      <c r="C70" s="50"/>
      <c r="D70" s="50"/>
      <c r="E70" s="50"/>
    </row>
    <row r="71" spans="1:13" ht="20.100000000000001" customHeight="1" x14ac:dyDescent="0.25">
      <c r="A71" t="s">
        <v>43</v>
      </c>
      <c r="B71" s="50">
        <f>B29</f>
        <v>52000000</v>
      </c>
      <c r="C71" s="52"/>
      <c r="D71" s="52"/>
      <c r="E71" s="52"/>
    </row>
    <row r="72" spans="1:13" ht="20.100000000000001" customHeight="1" x14ac:dyDescent="0.25">
      <c r="A72" s="13" t="s">
        <v>80</v>
      </c>
      <c r="B72" s="56">
        <f>B68</f>
        <v>59250000</v>
      </c>
      <c r="C72" s="56" t="s">
        <v>106</v>
      </c>
      <c r="D72" s="56">
        <f>B69</f>
        <v>30000000</v>
      </c>
      <c r="E72" s="56">
        <f>B68-B69</f>
        <v>29250000</v>
      </c>
    </row>
    <row r="73" spans="1:13" ht="31.5" customHeight="1" x14ac:dyDescent="0.25">
      <c r="A73" s="13" t="s">
        <v>81</v>
      </c>
      <c r="B73" s="57">
        <v>295000</v>
      </c>
      <c r="C73" s="57" t="s">
        <v>107</v>
      </c>
      <c r="D73" s="57">
        <v>627500</v>
      </c>
      <c r="E73" s="58" t="s">
        <v>108</v>
      </c>
    </row>
    <row r="74" spans="1:13" ht="20.100000000000001" customHeight="1" x14ac:dyDescent="0.25">
      <c r="A74" s="13" t="s">
        <v>82</v>
      </c>
      <c r="B74" s="56">
        <v>29500000</v>
      </c>
      <c r="C74" s="56" t="s">
        <v>106</v>
      </c>
      <c r="D74" s="56">
        <v>25600000</v>
      </c>
      <c r="E74" s="56">
        <f>B74-D74</f>
        <v>3900000</v>
      </c>
    </row>
    <row r="75" spans="1:13" ht="21.75" customHeight="1" x14ac:dyDescent="0.25">
      <c r="A75" s="13" t="s">
        <v>83</v>
      </c>
      <c r="B75" s="50">
        <f>E74</f>
        <v>3900000</v>
      </c>
      <c r="C75" s="59" t="s">
        <v>107</v>
      </c>
      <c r="D75" s="60">
        <f>D73</f>
        <v>627500</v>
      </c>
      <c r="E75" s="61">
        <f>B75/62750000</f>
        <v>6.2151394422310755E-2</v>
      </c>
      <c r="J75" s="33"/>
      <c r="K75" s="33"/>
      <c r="L75" s="33"/>
      <c r="M75" s="33"/>
    </row>
    <row r="76" spans="1:13" x14ac:dyDescent="0.25">
      <c r="B76" s="16"/>
    </row>
    <row r="77" spans="1:13" x14ac:dyDescent="0.25">
      <c r="B77" s="16"/>
    </row>
    <row r="78" spans="1:13" ht="15.75" customHeight="1" x14ac:dyDescent="0.25">
      <c r="B78" s="16"/>
      <c r="G78" s="34"/>
      <c r="H78" s="34"/>
      <c r="I78" s="34"/>
    </row>
    <row r="79" spans="1:13" ht="15.75" customHeight="1" x14ac:dyDescent="0.25">
      <c r="B79" s="16"/>
    </row>
    <row r="80" spans="1:13" ht="15.75" customHeight="1" x14ac:dyDescent="0.25">
      <c r="B80" s="15"/>
      <c r="G80" s="29"/>
      <c r="H80" s="29"/>
      <c r="I80" s="29"/>
    </row>
    <row r="81" spans="2:9" ht="15.75" customHeight="1" x14ac:dyDescent="0.25"/>
    <row r="82" spans="2:9" ht="15.75" customHeight="1" x14ac:dyDescent="0.25"/>
    <row r="83" spans="2:9" ht="15.75" customHeight="1" x14ac:dyDescent="0.25"/>
    <row r="84" spans="2:9" ht="15.75" customHeight="1" x14ac:dyDescent="0.25"/>
    <row r="85" spans="2:9" ht="15.75" customHeight="1" x14ac:dyDescent="0.25"/>
    <row r="86" spans="2:9" ht="15.75" customHeight="1" x14ac:dyDescent="0.25"/>
    <row r="87" spans="2:9" ht="15.75" customHeight="1" x14ac:dyDescent="0.25">
      <c r="B87" s="34"/>
      <c r="C87" s="34"/>
      <c r="D87" s="34"/>
      <c r="E87" s="34"/>
      <c r="F87" s="34"/>
      <c r="G87" s="34"/>
      <c r="H87" s="34"/>
      <c r="I87" s="34"/>
    </row>
    <row r="88" spans="2:9" ht="15.75" customHeight="1" x14ac:dyDescent="0.25">
      <c r="B88" s="34"/>
      <c r="C88" s="34"/>
      <c r="D88" s="34"/>
      <c r="E88" s="34"/>
      <c r="F88" s="34"/>
      <c r="G88" s="34"/>
      <c r="H88" s="34"/>
      <c r="I88" s="34"/>
    </row>
    <row r="89" spans="2:9" x14ac:dyDescent="0.25">
      <c r="G89" s="16"/>
      <c r="H89" s="16"/>
      <c r="I89" s="16"/>
    </row>
    <row r="90" spans="2:9" x14ac:dyDescent="0.25">
      <c r="G90" s="16"/>
      <c r="H90" s="16"/>
      <c r="I90" s="16"/>
    </row>
    <row r="91" spans="2:9" x14ac:dyDescent="0.25">
      <c r="G91" s="16"/>
      <c r="H91" s="16"/>
      <c r="I91" s="16"/>
    </row>
    <row r="92" spans="2:9" x14ac:dyDescent="0.25">
      <c r="G92" s="34"/>
      <c r="H92" s="34"/>
      <c r="I92" s="34"/>
    </row>
    <row r="94" spans="2:9" x14ac:dyDescent="0.25">
      <c r="G94" s="34"/>
      <c r="H94" s="34"/>
      <c r="I94" s="34"/>
    </row>
    <row r="95" spans="2:9" ht="16.5" customHeight="1" x14ac:dyDescent="0.25"/>
    <row r="96" spans="2:9" x14ac:dyDescent="0.25">
      <c r="B96" s="34"/>
    </row>
    <row r="104" ht="18" customHeight="1" x14ac:dyDescent="0.25"/>
    <row r="132" spans="1:9" s="35" customFormat="1" x14ac:dyDescent="0.25">
      <c r="A132"/>
      <c r="B132"/>
      <c r="C132"/>
      <c r="D132"/>
      <c r="E132"/>
      <c r="F132"/>
      <c r="G132"/>
      <c r="H132"/>
      <c r="I132"/>
    </row>
    <row r="133" spans="1:9" s="35" customFormat="1" x14ac:dyDescent="0.25">
      <c r="A133"/>
      <c r="B133"/>
      <c r="C133"/>
      <c r="D133"/>
      <c r="E133"/>
      <c r="F133"/>
      <c r="G133"/>
      <c r="H133"/>
      <c r="I133"/>
    </row>
    <row r="134" spans="1:9" s="35" customFormat="1" x14ac:dyDescent="0.25">
      <c r="A134"/>
      <c r="B134"/>
      <c r="C134"/>
      <c r="D134"/>
      <c r="E134"/>
      <c r="F134"/>
      <c r="G134"/>
      <c r="H134"/>
      <c r="I134"/>
    </row>
    <row r="135" spans="1:9" s="35" customFormat="1" x14ac:dyDescent="0.25">
      <c r="A135"/>
      <c r="B135"/>
      <c r="C135"/>
      <c r="D135"/>
      <c r="E135"/>
      <c r="F135"/>
      <c r="G135"/>
      <c r="H135"/>
      <c r="I135"/>
    </row>
    <row r="138" spans="1:9" s="35" customFormat="1" x14ac:dyDescent="0.25">
      <c r="A138"/>
      <c r="B138"/>
      <c r="C138"/>
      <c r="D138"/>
      <c r="E138"/>
      <c r="F138"/>
      <c r="G138"/>
      <c r="H138"/>
      <c r="I138"/>
    </row>
    <row r="139" spans="1:9" s="35" customFormat="1" x14ac:dyDescent="0.25">
      <c r="A139"/>
      <c r="B139"/>
      <c r="C139"/>
      <c r="D139"/>
      <c r="E139"/>
      <c r="F139"/>
      <c r="G139"/>
      <c r="H139"/>
      <c r="I139"/>
    </row>
  </sheetData>
  <mergeCells count="2">
    <mergeCell ref="A4:D7"/>
    <mergeCell ref="A32:D33"/>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2.1</vt:lpstr>
      <vt:lpstr>2.2</vt:lpstr>
      <vt:lpst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Hunt</dc:creator>
  <cp:lastModifiedBy>Tom </cp:lastModifiedBy>
  <dcterms:created xsi:type="dcterms:W3CDTF">2020-08-10T17:45:47Z</dcterms:created>
  <dcterms:modified xsi:type="dcterms:W3CDTF">2021-04-02T21:50:30Z</dcterms:modified>
</cp:coreProperties>
</file>